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CONTRACT 202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<sst xmlns="http://schemas.openxmlformats.org/spreadsheetml/2006/main" count="73" uniqueCount="33">
  <si>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LUNA</t>
  </si>
  <si>
    <t>BABEL MODEL</t>
  </si>
  <si>
    <t>SAN CRIS</t>
  </si>
  <si>
    <t>VITAL</t>
  </si>
  <si>
    <t>FURNIZORUL</t>
  </si>
  <si>
    <t>TOTAL</t>
  </si>
  <si>
    <t>CONTRACTAT</t>
  </si>
  <si>
    <t>PROMED</t>
  </si>
  <si>
    <t>CLINICA SOFIA</t>
  </si>
  <si>
    <t>SPITALUL CALARASI R.Conventionala</t>
  </si>
  <si>
    <t>SPITALUL CALARASI - R.Inalta Performanta</t>
  </si>
  <si>
    <t>BROTAC MEDICAL CENTER</t>
  </si>
  <si>
    <t>ROYALMED</t>
  </si>
  <si>
    <t>CLINICA SANTE</t>
  </si>
  <si>
    <t>SPITALUL CALARASI - LABORATOR</t>
  </si>
  <si>
    <t>SPITALUL CALARASI ANATOMIE PATOLOGICA</t>
  </si>
  <si>
    <t>FILIP MARIA</t>
  </si>
  <si>
    <t>GRINEI LIFE</t>
  </si>
  <si>
    <t>ALPHA MEDICAL INVEST</t>
  </si>
  <si>
    <t>ALPHA MEDICAL INVEST - R.Inalta Performanta</t>
  </si>
  <si>
    <t>ALPHA MEDICAL INVEST - R.Conventionala</t>
  </si>
  <si>
    <t>SPITALUL MUNICIPAL OLTENITA</t>
  </si>
  <si>
    <t>PARACLINICE VALORI CONTRACTATE PENTRU AN 2021 - LABORATOARE</t>
  </si>
  <si>
    <t>PARACLINICE VALORI CONTRACTATE PENTRU AN 2021 - ANATOMIE PATOLOGICA</t>
  </si>
  <si>
    <t xml:space="preserve">PARACLINICE VALORI CONTRACTATE PENTRU AN 2021 - RADIOLOGIE </t>
  </si>
  <si>
    <t>TRIM.I 2021</t>
  </si>
  <si>
    <t>TRIM.II 2021</t>
  </si>
  <si>
    <t>TRIM.III 2021</t>
  </si>
  <si>
    <t>NOV2021</t>
  </si>
  <si>
    <t>TOTAL TRIM IV 2021</t>
  </si>
  <si>
    <t>TOTAL AN  2021</t>
  </si>
  <si>
    <t>MEDIMA HEALTH - R.Inalta Performanta</t>
  </si>
  <si>
    <t>MEDIMA HEALTH - R.Conventionala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</si>
</sst>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2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6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7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wrapText="1"/>
    </xf>
    <xf numFmtId="17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70">
      <pane xSplit="1" topLeftCell="B1" activePane="topRight" state="frozen"/>
      <selection pane="topLeft" activeCell="A833" sqref="A833"/>
      <selection pane="topRight" activeCell="M93" sqref="M93"/>
    </sheetView>
  </sheetViews>
  <sheetFormatPr defaultColWidth="9.140625" defaultRowHeight="12.75"/>
  <cols>
    <col min="1" max="1" width="12.00390625" style="0" customWidth="1"/>
    <col min="2" max="3" width="14.0039062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00390625" style="0" customWidth="1"/>
    <col min="8" max="8" width="13.421875" style="0" customWidth="1"/>
    <col min="9" max="11" width="16.28125" style="0" customWidth="1"/>
    <col min="12" max="12" width="12.8515625" style="0" customWidth="1"/>
    <col min="13" max="13" width="12.7109375" style="0" customWidth="1"/>
    <col min="14" max="19" width="8.421875" style="0" customWidth="1"/>
    <col min="20" max="20" width="10.57421875" style="0" customWidth="1"/>
  </cols>
  <sheetData>
    <row r="1" spans="1:2" ht="14.25" customHeight="1">
      <c r="A1" s="7"/>
      <c r="B1" s="21"/>
    </row>
    <row r="2" spans="1:3" ht="14.25" customHeight="1">
      <c r="A2" s="7"/>
      <c r="B2" s="21"/>
      <c r="C2" s="34" t="s">
        <v>22</v>
      </c>
    </row>
    <row r="4" spans="1:13" ht="12.75">
      <c r="A4" s="66" t="s">
        <v>0</v>
      </c>
      <c r="B4" s="60" t="s">
        <v>4</v>
      </c>
      <c r="C4" s="61"/>
      <c r="D4" s="61"/>
      <c r="E4" s="61"/>
      <c r="F4" s="61"/>
      <c r="G4" s="61"/>
      <c r="H4" s="61"/>
      <c r="I4" s="61"/>
      <c r="J4" s="69" t="s">
        <v>5</v>
      </c>
      <c r="K4" s="55"/>
      <c r="L4" s="62"/>
      <c r="M4" s="22"/>
    </row>
    <row r="5" spans="1:13" ht="44.25" customHeight="1">
      <c r="A5" s="66"/>
      <c r="B5" s="2" t="s">
        <v>1</v>
      </c>
      <c r="C5" s="2" t="s">
        <v>11</v>
      </c>
      <c r="D5" s="2" t="s">
        <v>12</v>
      </c>
      <c r="E5" s="2" t="s">
        <v>13</v>
      </c>
      <c r="F5" s="2" t="s">
        <v>2</v>
      </c>
      <c r="G5" s="2" t="s">
        <v>3</v>
      </c>
      <c r="H5" s="2" t="s">
        <v>18</v>
      </c>
      <c r="I5" s="2" t="s">
        <v>14</v>
      </c>
      <c r="J5" s="68"/>
      <c r="K5" s="33"/>
      <c r="L5" s="63"/>
      <c r="M5" s="36"/>
    </row>
    <row r="6" spans="1:13" ht="25.5">
      <c r="A6" s="3"/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33"/>
      <c r="L6" s="33"/>
      <c r="M6" s="33"/>
    </row>
    <row r="7" spans="1:13" ht="12.75">
      <c r="A7" s="17">
        <v>44197</v>
      </c>
      <c r="B7" s="42">
        <f>36672.57+121.05-0.37</f>
        <v>36793.25</v>
      </c>
      <c r="C7" s="42">
        <f>39643.14+130.96-57.29</f>
        <v>39716.81</v>
      </c>
      <c r="D7" s="12">
        <f>50651.31+167.87-1.26</f>
        <v>50817.92</v>
      </c>
      <c r="E7" s="54">
        <f>27212.93+90.02-55.78</f>
        <v>27247.170000000002</v>
      </c>
      <c r="F7" s="54">
        <f>40548.42+134.28+6795.29</f>
        <v>47477.99</v>
      </c>
      <c r="G7" s="54">
        <f>31473.46+103.98-0.1</f>
        <v>31577.34</v>
      </c>
      <c r="H7" s="59">
        <f>28434.9-872.22+21121.1</f>
        <v>48683.78</v>
      </c>
      <c r="I7" s="73">
        <f>37403.27+124.06-22.38</f>
        <v>37504.95</v>
      </c>
      <c r="J7" s="27">
        <f>SUM(B7:I7)</f>
        <v>319819.21</v>
      </c>
      <c r="K7" s="28"/>
      <c r="L7" s="32"/>
      <c r="M7" s="23"/>
    </row>
    <row r="8" spans="1:13" ht="12.75">
      <c r="A8" s="17">
        <v>44228</v>
      </c>
      <c r="B8" s="42">
        <v>36834.04</v>
      </c>
      <c r="C8" s="42">
        <v>39425.61</v>
      </c>
      <c r="D8" s="12">
        <v>50939.43</v>
      </c>
      <c r="E8" s="54">
        <v>27333.23</v>
      </c>
      <c r="F8" s="54">
        <v>47167.52</v>
      </c>
      <c r="G8" s="54">
        <f>31618.18-17582.48</f>
        <v>14035.7</v>
      </c>
      <c r="H8" s="59">
        <v>46824.31</v>
      </c>
      <c r="I8" s="73">
        <v>37858.03</v>
      </c>
      <c r="J8" s="27">
        <f aca="true" t="shared" si="0" ref="J8:J23">SUM(B8:I8)</f>
        <v>300417.87</v>
      </c>
      <c r="K8" s="28"/>
      <c r="L8" s="32"/>
      <c r="M8" s="23"/>
    </row>
    <row r="9" spans="1:13" ht="12.75">
      <c r="A9" s="17">
        <v>44256</v>
      </c>
      <c r="B9" s="42">
        <v>37910.77</v>
      </c>
      <c r="C9" s="42">
        <f>408.22+39439.44-12.37</f>
        <v>39835.29</v>
      </c>
      <c r="D9" s="12">
        <f>522.32+43.72+50888.54-2.06</f>
        <v>51452.520000000004</v>
      </c>
      <c r="E9" s="54">
        <v>28373.67</v>
      </c>
      <c r="F9" s="54">
        <v>44943.92</v>
      </c>
      <c r="G9" s="54">
        <v>0</v>
      </c>
      <c r="H9" s="59">
        <v>54685.18</v>
      </c>
      <c r="I9" s="73">
        <f>385.49+32.57+37882.23-227.71</f>
        <v>38072.58</v>
      </c>
      <c r="J9" s="27">
        <f t="shared" si="0"/>
        <v>295273.93</v>
      </c>
      <c r="K9" s="28"/>
      <c r="L9" s="32"/>
      <c r="M9" s="23"/>
    </row>
    <row r="10" spans="1:13" ht="12.75">
      <c r="A10" s="18" t="s">
        <v>25</v>
      </c>
      <c r="B10" s="25">
        <f aca="true" t="shared" si="1" ref="B10:I10">SUM(B7:B9)</f>
        <v>111538.06</v>
      </c>
      <c r="C10" s="25">
        <f t="shared" si="1"/>
        <v>118977.70999999999</v>
      </c>
      <c r="D10" s="25">
        <f t="shared" si="1"/>
        <v>153209.87</v>
      </c>
      <c r="E10" s="70">
        <f>SUM(E7:E9)</f>
        <v>82954.07</v>
      </c>
      <c r="F10" s="70">
        <f t="shared" si="1"/>
        <v>139589.43</v>
      </c>
      <c r="G10" s="70">
        <f t="shared" si="1"/>
        <v>45613.04</v>
      </c>
      <c r="H10" s="25">
        <f t="shared" si="1"/>
        <v>150193.27</v>
      </c>
      <c r="I10" s="25">
        <f t="shared" si="1"/>
        <v>113435.56</v>
      </c>
      <c r="J10" s="27">
        <f t="shared" si="0"/>
        <v>915511.01</v>
      </c>
      <c r="K10" s="30"/>
      <c r="L10" s="56"/>
      <c r="M10" s="30"/>
    </row>
    <row r="11" spans="1:13" ht="12.75">
      <c r="A11" s="17">
        <v>44287</v>
      </c>
      <c r="B11" s="47">
        <v>48215.57</v>
      </c>
      <c r="C11" s="43">
        <v>51754.29</v>
      </c>
      <c r="D11" s="43">
        <v>62507.69</v>
      </c>
      <c r="E11" s="54">
        <v>33376.6</v>
      </c>
      <c r="F11" s="54">
        <v>53683.53</v>
      </c>
      <c r="G11" s="72">
        <v>0</v>
      </c>
      <c r="H11" s="59">
        <v>46722.04</v>
      </c>
      <c r="I11" s="73">
        <f>42330.99+473.61+1785.8-262.01</f>
        <v>44328.39</v>
      </c>
      <c r="J11" s="27">
        <f t="shared" si="0"/>
        <v>340588.11</v>
      </c>
      <c r="K11" s="28"/>
      <c r="L11" s="32"/>
      <c r="M11" s="23"/>
    </row>
    <row r="12" spans="1:13" ht="12.75">
      <c r="A12" s="17">
        <v>44317</v>
      </c>
      <c r="B12" s="47">
        <v>55797.59</v>
      </c>
      <c r="C12" s="43">
        <v>56494.82</v>
      </c>
      <c r="D12" s="43">
        <v>70993.96</v>
      </c>
      <c r="E12" s="54">
        <v>38870.93</v>
      </c>
      <c r="F12" s="54">
        <v>67762.76</v>
      </c>
      <c r="G12" s="50">
        <v>0</v>
      </c>
      <c r="H12" s="59">
        <v>51948.99</v>
      </c>
      <c r="I12" s="73">
        <f>42330.99+5357.41-42.73</f>
        <v>47645.66999999999</v>
      </c>
      <c r="J12" s="27">
        <f t="shared" si="0"/>
        <v>389514.72</v>
      </c>
      <c r="K12" s="28"/>
      <c r="L12" s="32"/>
      <c r="M12" s="23"/>
    </row>
    <row r="13" spans="1:13" ht="12.75">
      <c r="A13" s="17">
        <v>44348</v>
      </c>
      <c r="B13" s="42">
        <v>56008.54</v>
      </c>
      <c r="C13" s="12">
        <v>0</v>
      </c>
      <c r="D13" s="42">
        <v>71482.21</v>
      </c>
      <c r="E13" s="54">
        <v>38590.22</v>
      </c>
      <c r="F13" s="54">
        <v>66521.96</v>
      </c>
      <c r="G13" s="50">
        <v>0</v>
      </c>
      <c r="H13" s="59">
        <v>58148.01</v>
      </c>
      <c r="I13" s="59">
        <v>49259.48</v>
      </c>
      <c r="J13" s="27">
        <f t="shared" si="0"/>
        <v>340010.42</v>
      </c>
      <c r="K13" s="41"/>
      <c r="L13" s="32"/>
      <c r="M13" s="23"/>
    </row>
    <row r="14" spans="1:13" ht="12.75">
      <c r="A14" s="18" t="s">
        <v>26</v>
      </c>
      <c r="B14" s="25">
        <f aca="true" t="shared" si="2" ref="B14:I14">SUM(B11:B13)</f>
        <v>160021.7</v>
      </c>
      <c r="C14" s="25">
        <f t="shared" si="2"/>
        <v>108249.11</v>
      </c>
      <c r="D14" s="25">
        <f t="shared" si="2"/>
        <v>204983.86000000004</v>
      </c>
      <c r="E14" s="70">
        <f t="shared" si="2"/>
        <v>110837.75</v>
      </c>
      <c r="F14" s="70">
        <f t="shared" si="2"/>
        <v>187968.25</v>
      </c>
      <c r="G14" s="70">
        <f t="shared" si="2"/>
        <v>0</v>
      </c>
      <c r="H14" s="25">
        <f t="shared" si="2"/>
        <v>156819.04</v>
      </c>
      <c r="I14" s="25">
        <f t="shared" si="2"/>
        <v>141233.54</v>
      </c>
      <c r="J14" s="27">
        <f t="shared" si="0"/>
        <v>1070113.25</v>
      </c>
      <c r="K14" s="30"/>
      <c r="L14" s="32"/>
      <c r="M14" s="30"/>
    </row>
    <row r="15" spans="1:13" ht="12.75">
      <c r="A15" s="17">
        <v>44378</v>
      </c>
      <c r="B15" s="59">
        <v>53974.28</v>
      </c>
      <c r="C15" s="38">
        <v>0</v>
      </c>
      <c r="D15" s="59">
        <v>66609.17</v>
      </c>
      <c r="E15" s="54">
        <v>37223.13</v>
      </c>
      <c r="F15" s="54">
        <v>59092.28</v>
      </c>
      <c r="G15" s="50">
        <v>0</v>
      </c>
      <c r="H15" s="59">
        <v>57534.69</v>
      </c>
      <c r="I15" s="73">
        <f>47682.18+370.73-470.22</f>
        <v>47582.69</v>
      </c>
      <c r="J15" s="27">
        <f t="shared" si="0"/>
        <v>322016.24</v>
      </c>
      <c r="K15" s="57"/>
      <c r="L15" s="32"/>
      <c r="M15" s="23"/>
    </row>
    <row r="16" spans="1:13" ht="12.75">
      <c r="A16" s="17">
        <v>44409</v>
      </c>
      <c r="B16" s="59">
        <v>43370.19</v>
      </c>
      <c r="C16" s="38">
        <v>0</v>
      </c>
      <c r="D16" s="59">
        <v>54118.92</v>
      </c>
      <c r="E16" s="54">
        <v>31349.9</v>
      </c>
      <c r="F16" s="54">
        <v>51855.68</v>
      </c>
      <c r="G16" s="54">
        <v>34911.64</v>
      </c>
      <c r="H16" s="59">
        <v>55165.04</v>
      </c>
      <c r="I16" s="73">
        <f>42208.23-16.3</f>
        <v>42191.93</v>
      </c>
      <c r="J16" s="27">
        <f t="shared" si="0"/>
        <v>312963.3</v>
      </c>
      <c r="K16" s="57"/>
      <c r="L16" s="32"/>
      <c r="M16" s="23"/>
    </row>
    <row r="17" spans="1:13" ht="12.75">
      <c r="A17" s="17">
        <v>44440</v>
      </c>
      <c r="B17" s="59">
        <v>46188.35</v>
      </c>
      <c r="C17" s="38">
        <v>0</v>
      </c>
      <c r="D17" s="59">
        <v>58201.06</v>
      </c>
      <c r="E17" s="54">
        <v>30073.14</v>
      </c>
      <c r="F17" s="54">
        <v>52270.44</v>
      </c>
      <c r="G17" s="54">
        <v>34893.65</v>
      </c>
      <c r="H17" s="59">
        <v>55808.32</v>
      </c>
      <c r="I17" s="73">
        <f>42208.23-276.56</f>
        <v>41931.670000000006</v>
      </c>
      <c r="J17" s="27">
        <f t="shared" si="0"/>
        <v>319366.62999999995</v>
      </c>
      <c r="K17" s="57"/>
      <c r="L17" s="32"/>
      <c r="M17" s="23"/>
    </row>
    <row r="18" spans="1:13" ht="12.75">
      <c r="A18" s="18" t="s">
        <v>27</v>
      </c>
      <c r="B18" s="25">
        <f aca="true" t="shared" si="3" ref="B18:I18">SUM(B15:B17)</f>
        <v>143532.82</v>
      </c>
      <c r="C18" s="25">
        <f t="shared" si="3"/>
        <v>0</v>
      </c>
      <c r="D18" s="53">
        <f t="shared" si="3"/>
        <v>178929.15</v>
      </c>
      <c r="E18" s="71">
        <f t="shared" si="3"/>
        <v>98646.17</v>
      </c>
      <c r="F18" s="71">
        <f t="shared" si="3"/>
        <v>163218.4</v>
      </c>
      <c r="G18" s="71">
        <f t="shared" si="3"/>
        <v>69805.29000000001</v>
      </c>
      <c r="H18" s="53">
        <f t="shared" si="3"/>
        <v>168508.05000000002</v>
      </c>
      <c r="I18" s="53">
        <f t="shared" si="3"/>
        <v>131706.29</v>
      </c>
      <c r="J18" s="27">
        <f t="shared" si="0"/>
        <v>954346.17</v>
      </c>
      <c r="K18" s="30"/>
      <c r="L18" s="32"/>
      <c r="M18" s="5"/>
    </row>
    <row r="19" spans="1:13" ht="12.75">
      <c r="A19" s="17">
        <v>44470</v>
      </c>
      <c r="B19" s="42">
        <v>45653.31</v>
      </c>
      <c r="C19" s="12">
        <v>0</v>
      </c>
      <c r="D19" s="42">
        <v>53978.47</v>
      </c>
      <c r="E19" s="54">
        <v>31920.8</v>
      </c>
      <c r="F19" s="54">
        <v>49184.47</v>
      </c>
      <c r="G19" s="54">
        <v>35158.05</v>
      </c>
      <c r="H19" s="59">
        <v>45221.94</v>
      </c>
      <c r="I19" s="73">
        <f>21104.11+21109.19+64.94-8182.88-10545.34</f>
        <v>23550.020000000008</v>
      </c>
      <c r="J19" s="27">
        <f t="shared" si="0"/>
        <v>284667.06</v>
      </c>
      <c r="K19" s="41"/>
      <c r="L19" s="32"/>
      <c r="M19" s="23"/>
    </row>
    <row r="20" spans="1:13" ht="12.75">
      <c r="A20" s="19" t="s">
        <v>28</v>
      </c>
      <c r="B20" s="12">
        <v>43260.79</v>
      </c>
      <c r="C20" s="12">
        <v>0</v>
      </c>
      <c r="D20" s="12">
        <v>47973.08</v>
      </c>
      <c r="E20" s="50">
        <v>30643.52</v>
      </c>
      <c r="F20" s="50">
        <v>47969.11</v>
      </c>
      <c r="G20" s="50">
        <v>33185.33</v>
      </c>
      <c r="H20" s="38">
        <v>48547.71</v>
      </c>
      <c r="I20" s="51">
        <f>5627.76+14723.76+20286.44+365.92-30.58</f>
        <v>40973.299999999996</v>
      </c>
      <c r="J20" s="27">
        <f t="shared" si="0"/>
        <v>292552.84</v>
      </c>
      <c r="K20" s="58"/>
      <c r="L20" s="32"/>
      <c r="M20" s="23"/>
    </row>
    <row r="21" spans="1:13" ht="12.75">
      <c r="A21" s="17">
        <v>44531</v>
      </c>
      <c r="B21" s="42">
        <f>1321.72+39701.09+2226.36+114.51</f>
        <v>43363.68</v>
      </c>
      <c r="C21" s="12">
        <v>0</v>
      </c>
      <c r="D21" s="42">
        <f>1741.24-95.08+52001.31+2910.14+149.98</f>
        <v>56707.590000000004</v>
      </c>
      <c r="E21" s="54">
        <v>37024.26</v>
      </c>
      <c r="F21" s="54">
        <v>47916.36</v>
      </c>
      <c r="G21" s="54">
        <v>35632.72</v>
      </c>
      <c r="H21" s="59">
        <v>39475.87</v>
      </c>
      <c r="I21" s="73">
        <f>1406.95-365.92+42005.05+121.15</f>
        <v>43167.23</v>
      </c>
      <c r="J21" s="27">
        <f t="shared" si="0"/>
        <v>303287.71</v>
      </c>
      <c r="K21" s="41"/>
      <c r="L21" s="32"/>
      <c r="M21" s="23"/>
    </row>
    <row r="22" spans="1:13" ht="38.25">
      <c r="A22" s="6" t="s">
        <v>29</v>
      </c>
      <c r="B22" s="25">
        <f aca="true" t="shared" si="4" ref="B22:I22">SUM(B19:B21)</f>
        <v>132277.78</v>
      </c>
      <c r="C22" s="25">
        <f t="shared" si="4"/>
        <v>0</v>
      </c>
      <c r="D22" s="25">
        <f t="shared" si="4"/>
        <v>158659.14</v>
      </c>
      <c r="E22" s="70">
        <f t="shared" si="4"/>
        <v>99588.58</v>
      </c>
      <c r="F22" s="70">
        <f t="shared" si="4"/>
        <v>145069.94</v>
      </c>
      <c r="G22" s="70">
        <f t="shared" si="4"/>
        <v>103976.1</v>
      </c>
      <c r="H22" s="25">
        <f t="shared" si="4"/>
        <v>133245.52</v>
      </c>
      <c r="I22" s="25">
        <f t="shared" si="4"/>
        <v>107690.55000000002</v>
      </c>
      <c r="J22" s="27">
        <f t="shared" si="0"/>
        <v>880507.6100000001</v>
      </c>
      <c r="K22" s="30"/>
      <c r="L22" s="32"/>
      <c r="M22" s="5"/>
    </row>
    <row r="23" spans="1:13" ht="25.5">
      <c r="A23" s="24" t="s">
        <v>30</v>
      </c>
      <c r="B23" s="25">
        <f aca="true" t="shared" si="5" ref="B23:I23">B10+B14+B18+B22</f>
        <v>547370.36</v>
      </c>
      <c r="C23" s="25">
        <f t="shared" si="5"/>
        <v>227226.82</v>
      </c>
      <c r="D23" s="25">
        <f t="shared" si="5"/>
        <v>695782.02</v>
      </c>
      <c r="E23" s="70">
        <f t="shared" si="5"/>
        <v>392026.57</v>
      </c>
      <c r="F23" s="70">
        <f t="shared" si="5"/>
        <v>635846.02</v>
      </c>
      <c r="G23" s="70">
        <f t="shared" si="5"/>
        <v>219394.43000000002</v>
      </c>
      <c r="H23" s="25">
        <f t="shared" si="5"/>
        <v>608765.88</v>
      </c>
      <c r="I23" s="25">
        <f t="shared" si="5"/>
        <v>494065.94000000006</v>
      </c>
      <c r="J23" s="27">
        <f t="shared" si="0"/>
        <v>3820478.04</v>
      </c>
      <c r="K23" s="30"/>
      <c r="L23" s="32"/>
      <c r="M23" s="5"/>
    </row>
    <row r="24" spans="1:12" ht="12.75">
      <c r="A24" s="11"/>
      <c r="B24" s="5"/>
      <c r="C24" s="5"/>
      <c r="D24" s="5"/>
      <c r="E24" s="5"/>
      <c r="F24" s="5"/>
      <c r="G24" s="5"/>
      <c r="H24" s="5"/>
      <c r="I24" s="28"/>
      <c r="J24" s="28"/>
      <c r="K24" s="28"/>
      <c r="L24" s="28"/>
    </row>
    <row r="25" spans="1:13" ht="12.7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.7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</row>
    <row r="27" spans="1:12" ht="12.75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5" spans="1:2" ht="12.75">
      <c r="A35" s="13"/>
      <c r="B35" s="15"/>
    </row>
    <row r="36" spans="1:2" ht="12.75">
      <c r="A36" s="14"/>
      <c r="B36" s="21"/>
    </row>
    <row r="37" spans="1:3" ht="12.75">
      <c r="A37" s="14"/>
      <c r="B37" s="21"/>
      <c r="C37" s="34" t="s">
        <v>23</v>
      </c>
    </row>
    <row r="38" ht="12.75">
      <c r="G38" s="8"/>
    </row>
    <row r="39" spans="1:13" ht="62.25" customHeight="1">
      <c r="A39" s="67" t="s">
        <v>0</v>
      </c>
      <c r="B39" s="6" t="s">
        <v>15</v>
      </c>
      <c r="C39" s="6" t="s">
        <v>2</v>
      </c>
      <c r="D39" s="39" t="s">
        <v>5</v>
      </c>
      <c r="E39" s="35"/>
      <c r="F39" s="35"/>
      <c r="G39" s="44"/>
      <c r="H39" s="35"/>
      <c r="I39" s="8"/>
      <c r="J39" s="8"/>
      <c r="K39" s="8"/>
      <c r="L39" s="8"/>
      <c r="M39" s="8"/>
    </row>
    <row r="40" spans="1:13" ht="27.75" customHeight="1">
      <c r="A40" s="68"/>
      <c r="B40" s="2" t="s">
        <v>6</v>
      </c>
      <c r="C40" s="2" t="s">
        <v>6</v>
      </c>
      <c r="D40" s="48" t="s">
        <v>6</v>
      </c>
      <c r="E40" s="33"/>
      <c r="F40" s="33"/>
      <c r="G40" s="33"/>
      <c r="H40" s="33"/>
      <c r="I40" s="33"/>
      <c r="J40" s="33"/>
      <c r="K40" s="33"/>
      <c r="L40" s="33"/>
      <c r="M40" s="8"/>
    </row>
    <row r="41" spans="1:13" ht="12.75">
      <c r="A41" s="17">
        <v>44197</v>
      </c>
      <c r="B41" s="52">
        <f>4382.35-2652.35</f>
        <v>1730.0000000000005</v>
      </c>
      <c r="C41" s="42">
        <f>1577.65-497.65</f>
        <v>1080</v>
      </c>
      <c r="D41" s="16">
        <f>SUM(B41:C41)</f>
        <v>2810.0000000000005</v>
      </c>
      <c r="E41" s="41"/>
      <c r="F41" s="41"/>
      <c r="G41" s="32"/>
      <c r="H41" s="40"/>
      <c r="I41" s="23"/>
      <c r="J41" s="23"/>
      <c r="K41" s="23"/>
      <c r="L41" s="23"/>
      <c r="M41" s="9"/>
    </row>
    <row r="42" spans="1:13" ht="12.75">
      <c r="A42" s="17">
        <v>44228</v>
      </c>
      <c r="B42" s="52">
        <f>4382.35-2462.35</f>
        <v>1920.0000000000005</v>
      </c>
      <c r="C42" s="42">
        <f>1577.65-377.65</f>
        <v>1200</v>
      </c>
      <c r="D42" s="16">
        <f aca="true" t="shared" si="6" ref="D42:D57">SUM(B42:C42)</f>
        <v>3120.0000000000005</v>
      </c>
      <c r="E42" s="41"/>
      <c r="F42" s="41"/>
      <c r="G42" s="32"/>
      <c r="H42" s="40"/>
      <c r="I42" s="23"/>
      <c r="J42" s="23"/>
      <c r="K42" s="23"/>
      <c r="L42" s="23"/>
      <c r="M42" s="9"/>
    </row>
    <row r="43" spans="1:13" ht="12.75">
      <c r="A43" s="17">
        <v>44256</v>
      </c>
      <c r="B43" s="12">
        <f>4382.35-1702.35</f>
        <v>2680.0000000000005</v>
      </c>
      <c r="C43" s="12">
        <f>1577.65-457.65</f>
        <v>1120</v>
      </c>
      <c r="D43" s="16">
        <f t="shared" si="6"/>
        <v>3800.0000000000005</v>
      </c>
      <c r="E43" s="41"/>
      <c r="F43" s="41"/>
      <c r="G43" s="32"/>
      <c r="H43" s="40"/>
      <c r="I43" s="23"/>
      <c r="J43" s="23"/>
      <c r="K43" s="23"/>
      <c r="L43" s="23"/>
      <c r="M43" s="9"/>
    </row>
    <row r="44" spans="1:13" ht="12.75">
      <c r="A44" s="18" t="s">
        <v>25</v>
      </c>
      <c r="B44" s="53">
        <f>SUM(B41:B43)</f>
        <v>6330.000000000002</v>
      </c>
      <c r="C44" s="49">
        <f>SUM(C41:C43)</f>
        <v>3400</v>
      </c>
      <c r="D44" s="16">
        <f t="shared" si="6"/>
        <v>9730.000000000002</v>
      </c>
      <c r="E44" s="31"/>
      <c r="F44" s="31"/>
      <c r="G44" s="32"/>
      <c r="H44" s="23"/>
      <c r="I44" s="23"/>
      <c r="J44" s="23"/>
      <c r="K44" s="23"/>
      <c r="L44" s="23"/>
      <c r="M44" s="9"/>
    </row>
    <row r="45" spans="1:13" ht="12.75">
      <c r="A45" s="17">
        <v>44287</v>
      </c>
      <c r="B45" s="38">
        <f>4463.21-2933.21</f>
        <v>1530</v>
      </c>
      <c r="C45" s="42">
        <f>1606.75-766.75</f>
        <v>840</v>
      </c>
      <c r="D45" s="16">
        <f t="shared" si="6"/>
        <v>2370</v>
      </c>
      <c r="E45" s="45"/>
      <c r="F45" s="45"/>
      <c r="G45" s="32"/>
      <c r="H45" s="40"/>
      <c r="I45" s="23"/>
      <c r="J45" s="23"/>
      <c r="K45" s="23"/>
      <c r="L45" s="23"/>
      <c r="M45" s="9"/>
    </row>
    <row r="46" spans="1:13" ht="12.75">
      <c r="A46" s="17">
        <v>44317</v>
      </c>
      <c r="B46" s="38">
        <f>4463.21-1823.21</f>
        <v>2640</v>
      </c>
      <c r="C46" s="42">
        <f>1606.75-246.75</f>
        <v>1360</v>
      </c>
      <c r="D46" s="16">
        <f t="shared" si="6"/>
        <v>4000</v>
      </c>
      <c r="E46" s="41"/>
      <c r="F46" s="41"/>
      <c r="G46" s="32"/>
      <c r="H46" s="40"/>
      <c r="I46" s="23"/>
      <c r="J46" s="23"/>
      <c r="K46" s="23"/>
      <c r="L46" s="23"/>
      <c r="M46" s="9"/>
    </row>
    <row r="47" spans="1:13" ht="12.75">
      <c r="A47" s="17">
        <v>44348</v>
      </c>
      <c r="B47" s="42">
        <f>4637.26-2717.26</f>
        <v>1920</v>
      </c>
      <c r="C47" s="42">
        <f>1451.66-291.66</f>
        <v>1160</v>
      </c>
      <c r="D47" s="16">
        <f t="shared" si="6"/>
        <v>3080</v>
      </c>
      <c r="E47" s="41"/>
      <c r="F47" s="41"/>
      <c r="G47" s="32"/>
      <c r="H47" s="40"/>
      <c r="I47" s="23"/>
      <c r="J47" s="23"/>
      <c r="K47" s="23"/>
      <c r="L47" s="23"/>
      <c r="M47" s="9"/>
    </row>
    <row r="48" spans="1:13" ht="12.75">
      <c r="A48" s="18" t="s">
        <v>26</v>
      </c>
      <c r="B48" s="53">
        <f>SUM(B45:B47)</f>
        <v>6090</v>
      </c>
      <c r="C48" s="49">
        <f>SUM(C45:C47)</f>
        <v>3360</v>
      </c>
      <c r="D48" s="16">
        <f t="shared" si="6"/>
        <v>9450</v>
      </c>
      <c r="E48" s="31"/>
      <c r="F48" s="31"/>
      <c r="G48" s="32"/>
      <c r="H48" s="23"/>
      <c r="I48" s="23"/>
      <c r="J48" s="23"/>
      <c r="K48" s="23"/>
      <c r="L48" s="23"/>
      <c r="M48" s="9"/>
    </row>
    <row r="49" spans="1:13" ht="12.75">
      <c r="A49" s="17">
        <v>44378</v>
      </c>
      <c r="B49" s="54">
        <f>4417.22-2047.22</f>
        <v>2370</v>
      </c>
      <c r="C49" s="42">
        <f>1382.78-342.78</f>
        <v>1040</v>
      </c>
      <c r="D49" s="16">
        <f t="shared" si="6"/>
        <v>3410</v>
      </c>
      <c r="E49" s="46"/>
      <c r="F49" s="46"/>
      <c r="G49" s="32"/>
      <c r="H49" s="40"/>
      <c r="I49" s="23"/>
      <c r="J49" s="23"/>
      <c r="K49" s="23"/>
      <c r="L49" s="23"/>
      <c r="M49" s="9"/>
    </row>
    <row r="50" spans="1:13" ht="12.75">
      <c r="A50" s="17">
        <v>44409</v>
      </c>
      <c r="B50" s="12">
        <f>2500-250</f>
        <v>2250</v>
      </c>
      <c r="C50" s="54">
        <v>0</v>
      </c>
      <c r="D50" s="16">
        <f t="shared" si="6"/>
        <v>2250</v>
      </c>
      <c r="E50" s="41"/>
      <c r="F50" s="41"/>
      <c r="G50" s="32"/>
      <c r="H50" s="40"/>
      <c r="I50" s="23"/>
      <c r="J50" s="23"/>
      <c r="K50" s="23"/>
      <c r="L50" s="23"/>
      <c r="M50" s="9"/>
    </row>
    <row r="51" spans="1:13" ht="12.75">
      <c r="A51" s="17">
        <v>44440</v>
      </c>
      <c r="B51" s="74">
        <f>2500-20</f>
        <v>2480</v>
      </c>
      <c r="C51" s="74">
        <v>0</v>
      </c>
      <c r="D51" s="16">
        <f t="shared" si="6"/>
        <v>2480</v>
      </c>
      <c r="E51" s="41"/>
      <c r="F51" s="41"/>
      <c r="G51" s="32"/>
      <c r="H51" s="40"/>
      <c r="I51" s="23"/>
      <c r="J51" s="23"/>
      <c r="K51" s="23"/>
      <c r="L51" s="23"/>
      <c r="M51" s="9"/>
    </row>
    <row r="52" spans="1:13" ht="12.75">
      <c r="A52" s="18" t="s">
        <v>27</v>
      </c>
      <c r="B52" s="53">
        <f>SUM(B49:B51)</f>
        <v>7100</v>
      </c>
      <c r="C52" s="49">
        <f>SUM(C49:C51)</f>
        <v>1040</v>
      </c>
      <c r="D52" s="16">
        <f t="shared" si="6"/>
        <v>8140</v>
      </c>
      <c r="E52" s="31"/>
      <c r="F52" s="31"/>
      <c r="G52" s="32"/>
      <c r="H52" s="23"/>
      <c r="I52" s="23"/>
      <c r="J52" s="23"/>
      <c r="K52" s="23"/>
      <c r="L52" s="23"/>
      <c r="M52" s="9"/>
    </row>
    <row r="53" spans="1:13" ht="12.75">
      <c r="A53" s="17">
        <v>44470</v>
      </c>
      <c r="B53" s="12">
        <f>1500+1362.02-212.02</f>
        <v>2650</v>
      </c>
      <c r="C53" s="12">
        <v>0</v>
      </c>
      <c r="D53" s="16">
        <f t="shared" si="6"/>
        <v>2650</v>
      </c>
      <c r="E53" s="41"/>
      <c r="F53" s="41"/>
      <c r="G53" s="32"/>
      <c r="H53" s="40"/>
      <c r="I53" s="23"/>
      <c r="J53" s="23"/>
      <c r="K53" s="23"/>
      <c r="L53" s="23"/>
      <c r="M53" s="9"/>
    </row>
    <row r="54" spans="1:13" ht="12.75">
      <c r="A54" s="19" t="s">
        <v>28</v>
      </c>
      <c r="B54" s="12">
        <f>600+946.48+1303.74+20-750.22</f>
        <v>2120</v>
      </c>
      <c r="C54" s="12">
        <v>0</v>
      </c>
      <c r="D54" s="16">
        <f t="shared" si="6"/>
        <v>2120</v>
      </c>
      <c r="E54" s="41"/>
      <c r="F54" s="41"/>
      <c r="G54" s="32"/>
      <c r="H54" s="40"/>
      <c r="I54" s="23"/>
      <c r="J54" s="23"/>
      <c r="K54" s="23"/>
      <c r="L54" s="23"/>
      <c r="M54" s="9"/>
    </row>
    <row r="55" spans="1:13" ht="12.75">
      <c r="A55" s="17">
        <v>44531</v>
      </c>
      <c r="B55" s="12">
        <f>158.5+2735.81</f>
        <v>2894.31</v>
      </c>
      <c r="C55" s="12">
        <v>0</v>
      </c>
      <c r="D55" s="16">
        <f t="shared" si="6"/>
        <v>2894.31</v>
      </c>
      <c r="E55" s="41"/>
      <c r="F55" s="41"/>
      <c r="G55" s="32"/>
      <c r="H55" s="40"/>
      <c r="I55" s="23"/>
      <c r="J55" s="23"/>
      <c r="K55" s="23"/>
      <c r="L55" s="23"/>
      <c r="M55" s="9"/>
    </row>
    <row r="56" spans="1:13" ht="38.25">
      <c r="A56" s="6" t="s">
        <v>29</v>
      </c>
      <c r="B56" s="25">
        <f>SUM(B53:B55)</f>
        <v>7664.3099999999995</v>
      </c>
      <c r="C56" s="25">
        <f>SUM(C53:C55)</f>
        <v>0</v>
      </c>
      <c r="D56" s="16">
        <f t="shared" si="6"/>
        <v>7664.3099999999995</v>
      </c>
      <c r="E56" s="30"/>
      <c r="F56" s="31"/>
      <c r="G56" s="32"/>
      <c r="H56" s="23"/>
      <c r="I56" s="23"/>
      <c r="J56" s="23"/>
      <c r="K56" s="23"/>
      <c r="L56" s="23"/>
      <c r="M56" s="9"/>
    </row>
    <row r="57" spans="1:13" ht="25.5">
      <c r="A57" s="24" t="s">
        <v>30</v>
      </c>
      <c r="B57" s="25">
        <f>B44+B48+B52+B56</f>
        <v>27184.309999999998</v>
      </c>
      <c r="C57" s="25">
        <f>C44+C48+C52+C56</f>
        <v>7800</v>
      </c>
      <c r="D57" s="16">
        <f t="shared" si="6"/>
        <v>34984.31</v>
      </c>
      <c r="E57" s="30"/>
      <c r="F57" s="30"/>
      <c r="G57" s="32"/>
      <c r="H57" s="23"/>
      <c r="I57" s="23"/>
      <c r="J57" s="23"/>
      <c r="K57" s="23"/>
      <c r="L57" s="23"/>
      <c r="M57" s="9"/>
    </row>
    <row r="58" spans="1:12" ht="12.75">
      <c r="A58" s="11"/>
      <c r="B58" s="5"/>
      <c r="C58" s="5"/>
      <c r="D58" s="9"/>
      <c r="E58" s="9"/>
      <c r="F58" s="10"/>
      <c r="G58" s="5"/>
      <c r="I58" s="1"/>
      <c r="J58" s="1"/>
      <c r="K58" s="1"/>
      <c r="L58" s="1"/>
    </row>
    <row r="59" spans="1:13" ht="12.75">
      <c r="A59" s="11"/>
      <c r="B59" s="28"/>
      <c r="C59" s="28"/>
      <c r="D59" s="28"/>
      <c r="E59" s="28"/>
      <c r="F59" s="28"/>
      <c r="G59" s="28"/>
      <c r="H59" s="28"/>
      <c r="I59" s="5"/>
      <c r="J59" s="5"/>
      <c r="K59" s="5"/>
      <c r="L59" s="5"/>
      <c r="M59" s="5"/>
    </row>
    <row r="60" spans="1:8" ht="12.75">
      <c r="A60" s="11"/>
      <c r="B60" s="28"/>
      <c r="C60" s="5"/>
      <c r="D60" s="5"/>
      <c r="E60" s="5"/>
      <c r="F60" s="5"/>
      <c r="G60" s="5"/>
      <c r="H60" s="5"/>
    </row>
    <row r="61" spans="1:7" ht="12.75">
      <c r="A61" s="11"/>
      <c r="B61" s="5"/>
      <c r="C61" s="5"/>
      <c r="D61" s="9"/>
      <c r="E61" s="9"/>
      <c r="F61" s="10"/>
      <c r="G61" s="5"/>
    </row>
    <row r="62" spans="1:7" ht="12.75">
      <c r="A62" s="11"/>
      <c r="B62" s="5"/>
      <c r="C62" s="5"/>
      <c r="D62" s="9"/>
      <c r="E62" s="9"/>
      <c r="F62" s="10"/>
      <c r="G62" s="5"/>
    </row>
    <row r="63" spans="1:7" ht="12.75">
      <c r="A63" s="11"/>
      <c r="B63" s="5"/>
      <c r="C63" s="5"/>
      <c r="D63" s="9"/>
      <c r="E63" s="9"/>
      <c r="F63" s="10"/>
      <c r="G63" s="5"/>
    </row>
    <row r="64" spans="1:13" ht="12.75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ht="12.75">
      <c r="B66" s="21"/>
    </row>
    <row r="67" spans="1:3" ht="12.75">
      <c r="A67" s="7"/>
      <c r="C67" s="34" t="s">
        <v>24</v>
      </c>
    </row>
    <row r="69" spans="1:13" ht="66.75" customHeight="1">
      <c r="A69" s="64" t="s">
        <v>0</v>
      </c>
      <c r="B69" s="2" t="s">
        <v>9</v>
      </c>
      <c r="C69" s="2" t="s">
        <v>10</v>
      </c>
      <c r="D69" s="2" t="s">
        <v>7</v>
      </c>
      <c r="E69" s="2" t="s">
        <v>17</v>
      </c>
      <c r="F69" s="2" t="s">
        <v>16</v>
      </c>
      <c r="G69" s="6" t="s">
        <v>8</v>
      </c>
      <c r="H69" s="6" t="s">
        <v>19</v>
      </c>
      <c r="I69" s="6" t="s">
        <v>20</v>
      </c>
      <c r="J69" s="6" t="s">
        <v>21</v>
      </c>
      <c r="K69" s="6" t="s">
        <v>31</v>
      </c>
      <c r="L69" s="6" t="s">
        <v>32</v>
      </c>
      <c r="M69" s="37" t="s">
        <v>5</v>
      </c>
    </row>
    <row r="70" spans="1:13" ht="25.5">
      <c r="A70" s="65"/>
      <c r="B70" s="2" t="s">
        <v>6</v>
      </c>
      <c r="C70" s="2" t="s">
        <v>6</v>
      </c>
      <c r="D70" s="2" t="s">
        <v>6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2" t="s">
        <v>6</v>
      </c>
      <c r="L70" s="2" t="s">
        <v>6</v>
      </c>
      <c r="M70" s="2" t="s">
        <v>6</v>
      </c>
    </row>
    <row r="71" spans="1:13" ht="12.75">
      <c r="A71" s="17">
        <v>44197</v>
      </c>
      <c r="B71" s="12">
        <f>22102.51-6936.51</f>
        <v>15165.999999999998</v>
      </c>
      <c r="C71" s="12">
        <f>129685.21-15.21</f>
        <v>129670</v>
      </c>
      <c r="D71" s="12">
        <f>7427.16-44.16</f>
        <v>7383</v>
      </c>
      <c r="E71" s="50">
        <f>1952.78-37.78</f>
        <v>1915</v>
      </c>
      <c r="F71" s="50">
        <f>6987.22-57.22</f>
        <v>6930</v>
      </c>
      <c r="G71" s="50">
        <f>19040.16-69.16</f>
        <v>18971</v>
      </c>
      <c r="H71" s="50">
        <f>87109.79+51635.78-0.57</f>
        <v>138745</v>
      </c>
      <c r="I71" s="50">
        <f>15710.17+867.83</f>
        <v>16578</v>
      </c>
      <c r="J71" s="54">
        <f>7985-22</f>
        <v>7963</v>
      </c>
      <c r="K71" s="54">
        <v>0</v>
      </c>
      <c r="L71" s="54">
        <v>0</v>
      </c>
      <c r="M71" s="16">
        <f>SUM(B71:L71)</f>
        <v>343321</v>
      </c>
    </row>
    <row r="72" spans="1:13" ht="12.75">
      <c r="A72" s="17">
        <v>44228</v>
      </c>
      <c r="B72" s="12">
        <v>22098</v>
      </c>
      <c r="C72" s="12">
        <v>128280</v>
      </c>
      <c r="D72" s="12">
        <v>7420</v>
      </c>
      <c r="E72" s="50">
        <v>1895</v>
      </c>
      <c r="F72" s="50">
        <v>6810</v>
      </c>
      <c r="G72" s="50">
        <v>18983</v>
      </c>
      <c r="H72" s="50">
        <v>138525</v>
      </c>
      <c r="I72" s="50">
        <v>15766</v>
      </c>
      <c r="J72" s="54">
        <v>7958</v>
      </c>
      <c r="K72" s="54">
        <v>0</v>
      </c>
      <c r="L72" s="54">
        <v>0</v>
      </c>
      <c r="M72" s="16">
        <f aca="true" t="shared" si="7" ref="M72:M87">SUM(B72:L72)</f>
        <v>347735</v>
      </c>
    </row>
    <row r="73" spans="1:13" ht="12.75">
      <c r="A73" s="17">
        <v>44256</v>
      </c>
      <c r="B73" s="12">
        <f>22413.03-93.03</f>
        <v>22320</v>
      </c>
      <c r="C73" s="12">
        <v>138115</v>
      </c>
      <c r="D73" s="12">
        <f>1216.14+6896.9-29.04</f>
        <v>8084</v>
      </c>
      <c r="E73" s="50">
        <f>95+1899.17-14.17</f>
        <v>1980</v>
      </c>
      <c r="F73" s="50">
        <f>7040.83-50.83</f>
        <v>6990</v>
      </c>
      <c r="G73" s="50">
        <f>3124.93+19143.73-94.66</f>
        <v>22174</v>
      </c>
      <c r="H73" s="50">
        <v>159225</v>
      </c>
      <c r="I73" s="50">
        <f>2730.76+15791.08-1871.84</f>
        <v>16650</v>
      </c>
      <c r="J73" s="54">
        <f>8020.26-14.26</f>
        <v>8006</v>
      </c>
      <c r="K73" s="54">
        <v>0</v>
      </c>
      <c r="L73" s="54">
        <v>0</v>
      </c>
      <c r="M73" s="16">
        <f t="shared" si="7"/>
        <v>383544</v>
      </c>
    </row>
    <row r="74" spans="1:13" ht="12.75">
      <c r="A74" s="18" t="s">
        <v>25</v>
      </c>
      <c r="B74" s="25">
        <f aca="true" t="shared" si="8" ref="B74:L74">SUM(B71:B73)</f>
        <v>59584</v>
      </c>
      <c r="C74" s="25">
        <f>SUM(C71:C73)</f>
        <v>396065</v>
      </c>
      <c r="D74" s="25">
        <f t="shared" si="8"/>
        <v>22887</v>
      </c>
      <c r="E74" s="70">
        <f t="shared" si="8"/>
        <v>5790</v>
      </c>
      <c r="F74" s="70">
        <f t="shared" si="8"/>
        <v>20730</v>
      </c>
      <c r="G74" s="27">
        <f t="shared" si="8"/>
        <v>60128</v>
      </c>
      <c r="H74" s="27">
        <f t="shared" si="8"/>
        <v>436495</v>
      </c>
      <c r="I74" s="27">
        <f t="shared" si="8"/>
        <v>48994</v>
      </c>
      <c r="J74" s="27">
        <f>SUM(J71:J73)</f>
        <v>23927</v>
      </c>
      <c r="K74" s="27">
        <f>SUM(K71:K73)</f>
        <v>0</v>
      </c>
      <c r="L74" s="27">
        <f t="shared" si="8"/>
        <v>0</v>
      </c>
      <c r="M74" s="16">
        <f t="shared" si="7"/>
        <v>1074600</v>
      </c>
    </row>
    <row r="75" spans="1:13" ht="12.75">
      <c r="A75" s="17">
        <v>44287</v>
      </c>
      <c r="B75" s="51">
        <f>22826.54+25.82-17.36</f>
        <v>22835</v>
      </c>
      <c r="C75" s="4">
        <v>132180</v>
      </c>
      <c r="D75" s="38">
        <f>7024.15+10.27-1.42</f>
        <v>7033</v>
      </c>
      <c r="E75" s="50">
        <f>2022.67+235-27.67</f>
        <v>2230</v>
      </c>
      <c r="F75" s="50">
        <f>7082.27-92.27</f>
        <v>6990</v>
      </c>
      <c r="G75" s="50">
        <f>19496.93+26.3-18.23</f>
        <v>19505</v>
      </c>
      <c r="H75" s="50">
        <v>151760</v>
      </c>
      <c r="I75" s="50">
        <v>16126</v>
      </c>
      <c r="J75" s="54">
        <f>8168.23+11.03-10.26</f>
        <v>8168.999999999999</v>
      </c>
      <c r="K75" s="54">
        <v>0</v>
      </c>
      <c r="L75" s="54">
        <v>0</v>
      </c>
      <c r="M75" s="16">
        <f t="shared" si="7"/>
        <v>366828</v>
      </c>
    </row>
    <row r="76" spans="1:13" ht="12.75">
      <c r="A76" s="17">
        <v>44317</v>
      </c>
      <c r="B76" s="38">
        <f>22826.54+264.11-123.65</f>
        <v>22967</v>
      </c>
      <c r="C76" s="50">
        <f>130295.1-16755.1</f>
        <v>113540</v>
      </c>
      <c r="D76" s="50">
        <f>7024.15+80.53+450.04-3.72</f>
        <v>7550.999999999999</v>
      </c>
      <c r="E76" s="50">
        <f>2022.67+65-57.67</f>
        <v>2030</v>
      </c>
      <c r="F76" s="50">
        <f>7082.27-2.27</f>
        <v>7080</v>
      </c>
      <c r="G76" s="50">
        <f>19496.93-622.16+1182.31-18.08</f>
        <v>20039</v>
      </c>
      <c r="H76" s="50">
        <v>127720</v>
      </c>
      <c r="I76" s="50">
        <f>16082.42+184.65-90.07</f>
        <v>16177</v>
      </c>
      <c r="J76" s="54">
        <f>8168.23+92.87+470.48-33.58</f>
        <v>8698</v>
      </c>
      <c r="K76" s="54">
        <v>0</v>
      </c>
      <c r="L76" s="54">
        <v>0</v>
      </c>
      <c r="M76" s="16">
        <f t="shared" si="7"/>
        <v>325802</v>
      </c>
    </row>
    <row r="77" spans="1:13" ht="12.75">
      <c r="A77" s="17">
        <v>44348</v>
      </c>
      <c r="B77" s="38">
        <f>23087.61+61.16-152.77</f>
        <v>22996</v>
      </c>
      <c r="C77" s="50">
        <f>131352.8-27167.8</f>
        <v>104184.99999999999</v>
      </c>
      <c r="D77" s="38">
        <f>7097.48+22.2-3.68</f>
        <v>7115.999999999999</v>
      </c>
      <c r="E77" s="12">
        <f>2028.99+119.94-8.93</f>
        <v>2140</v>
      </c>
      <c r="F77" s="50">
        <f>7104.39-9.39</f>
        <v>7095</v>
      </c>
      <c r="G77" s="12">
        <f>19144.02+59.09-1.11</f>
        <v>19202</v>
      </c>
      <c r="H77" s="50">
        <v>146655</v>
      </c>
      <c r="I77" s="50">
        <f>16252.89-38.89</f>
        <v>16214</v>
      </c>
      <c r="J77" s="54">
        <f>8246.15+23.82-194.97</f>
        <v>8074.999999999999</v>
      </c>
      <c r="K77" s="50">
        <v>0</v>
      </c>
      <c r="L77" s="50">
        <v>0</v>
      </c>
      <c r="M77" s="16">
        <f t="shared" si="7"/>
        <v>333678</v>
      </c>
    </row>
    <row r="78" spans="1:13" ht="12.75">
      <c r="A78" s="18" t="s">
        <v>26</v>
      </c>
      <c r="B78" s="25">
        <f aca="true" t="shared" si="9" ref="B78:L78">SUM(B75:B77)</f>
        <v>68798</v>
      </c>
      <c r="C78" s="25">
        <f t="shared" si="9"/>
        <v>349905</v>
      </c>
      <c r="D78" s="25">
        <f t="shared" si="9"/>
        <v>21700</v>
      </c>
      <c r="E78" s="70">
        <f t="shared" si="9"/>
        <v>6400</v>
      </c>
      <c r="F78" s="70">
        <f t="shared" si="9"/>
        <v>21165</v>
      </c>
      <c r="G78" s="27">
        <f t="shared" si="9"/>
        <v>58746</v>
      </c>
      <c r="H78" s="27">
        <f t="shared" si="9"/>
        <v>426135</v>
      </c>
      <c r="I78" s="27">
        <f t="shared" si="9"/>
        <v>48517</v>
      </c>
      <c r="J78" s="27">
        <f>SUM(J75:J77)</f>
        <v>24942</v>
      </c>
      <c r="K78" s="27">
        <f>SUM(K75:K77)</f>
        <v>0</v>
      </c>
      <c r="L78" s="27">
        <f t="shared" si="9"/>
        <v>0</v>
      </c>
      <c r="M78" s="16">
        <f t="shared" si="7"/>
        <v>1026308</v>
      </c>
    </row>
    <row r="79" spans="1:13" ht="12.75">
      <c r="A79" s="17">
        <v>44378</v>
      </c>
      <c r="B79" s="38">
        <f>19822.16-10.16</f>
        <v>19812</v>
      </c>
      <c r="C79" s="38">
        <v>95050</v>
      </c>
      <c r="D79" s="38">
        <f>6172.97+128.84-3.81</f>
        <v>6298</v>
      </c>
      <c r="E79" s="38">
        <f>1932.71-27.71</f>
        <v>1905</v>
      </c>
      <c r="F79" s="38">
        <f>6767.29+59.94-122.23</f>
        <v>6705</v>
      </c>
      <c r="G79" s="12">
        <f>16530.86-2166.86</f>
        <v>14364</v>
      </c>
      <c r="H79" s="50">
        <v>178310</v>
      </c>
      <c r="I79" s="50">
        <f>14106.87-414.87</f>
        <v>13692</v>
      </c>
      <c r="J79" s="54">
        <f>13692.14+140.26-58.4</f>
        <v>13774</v>
      </c>
      <c r="K79" s="54">
        <v>0</v>
      </c>
      <c r="L79" s="54">
        <v>0</v>
      </c>
      <c r="M79" s="16">
        <f t="shared" si="7"/>
        <v>349910</v>
      </c>
    </row>
    <row r="80" spans="1:13" ht="12.75">
      <c r="A80" s="17">
        <v>44409</v>
      </c>
      <c r="B80" s="38">
        <f>21193.89-19.89</f>
        <v>21174</v>
      </c>
      <c r="C80" s="38">
        <v>50645</v>
      </c>
      <c r="D80" s="38">
        <f>7374.05+106.77-2.82</f>
        <v>7478.000000000001</v>
      </c>
      <c r="E80" s="38">
        <f>715+4.13-4.13</f>
        <v>715</v>
      </c>
      <c r="F80" s="38">
        <f>5500+14.19-24.19</f>
        <v>5490</v>
      </c>
      <c r="G80" s="12">
        <f>15504.23+284.65-7215.88</f>
        <v>8573</v>
      </c>
      <c r="H80" s="50">
        <v>110645</v>
      </c>
      <c r="I80" s="50">
        <f>13930.21-121.21</f>
        <v>13809</v>
      </c>
      <c r="J80" s="54">
        <f>14594.66-65.66</f>
        <v>14529</v>
      </c>
      <c r="K80" s="54">
        <v>177070</v>
      </c>
      <c r="L80" s="42">
        <f>4701.43-4521.43</f>
        <v>180</v>
      </c>
      <c r="M80" s="16">
        <f t="shared" si="7"/>
        <v>410308</v>
      </c>
    </row>
    <row r="81" spans="1:13" ht="12.75">
      <c r="A81" s="17">
        <v>44440</v>
      </c>
      <c r="B81" s="38">
        <f>21193.89+1054.69-10178.58</f>
        <v>12069.999999999998</v>
      </c>
      <c r="C81" s="12">
        <f>80650.89-46332.85-1553.04</f>
        <v>32765</v>
      </c>
      <c r="D81" s="12">
        <f>7362.04+362.15-8.19</f>
        <v>7716</v>
      </c>
      <c r="E81" s="38">
        <f>715+149.94-164.94</f>
        <v>700</v>
      </c>
      <c r="F81" s="38">
        <f>5500-10</f>
        <v>5490</v>
      </c>
      <c r="G81" s="12">
        <f>15504.23-14524.23</f>
        <v>980</v>
      </c>
      <c r="H81" s="50">
        <v>115905</v>
      </c>
      <c r="I81" s="50">
        <v>16312</v>
      </c>
      <c r="J81" s="54">
        <f>14594.66+445.83-26.49</f>
        <v>15014</v>
      </c>
      <c r="K81" s="54">
        <v>206958.54</v>
      </c>
      <c r="L81" s="42">
        <f>4701.43-4241.43</f>
        <v>460</v>
      </c>
      <c r="M81" s="16">
        <f t="shared" si="7"/>
        <v>414370.54000000004</v>
      </c>
    </row>
    <row r="82" spans="1:13" ht="12.75">
      <c r="A82" s="18" t="s">
        <v>27</v>
      </c>
      <c r="B82" s="25">
        <f aca="true" t="shared" si="10" ref="B82:L82">SUM(B79:B81)</f>
        <v>53056</v>
      </c>
      <c r="C82" s="25">
        <f t="shared" si="10"/>
        <v>178460</v>
      </c>
      <c r="D82" s="25">
        <f t="shared" si="10"/>
        <v>21492</v>
      </c>
      <c r="E82" s="70">
        <f t="shared" si="10"/>
        <v>3320</v>
      </c>
      <c r="F82" s="70">
        <f t="shared" si="10"/>
        <v>17685</v>
      </c>
      <c r="G82" s="27">
        <f t="shared" si="10"/>
        <v>23917</v>
      </c>
      <c r="H82" s="27">
        <f t="shared" si="10"/>
        <v>404860</v>
      </c>
      <c r="I82" s="27">
        <f t="shared" si="10"/>
        <v>43813</v>
      </c>
      <c r="J82" s="27">
        <f>SUM(J79:J81)</f>
        <v>43317</v>
      </c>
      <c r="K82" s="27">
        <f>SUM(K79:K81)</f>
        <v>384028.54000000004</v>
      </c>
      <c r="L82" s="27">
        <f t="shared" si="10"/>
        <v>640</v>
      </c>
      <c r="M82" s="16">
        <f t="shared" si="7"/>
        <v>1174588.54</v>
      </c>
    </row>
    <row r="83" spans="1:13" ht="12.75">
      <c r="A83" s="17">
        <v>44470</v>
      </c>
      <c r="B83" s="12">
        <f>12922.02-73.72+11097.25+86.21+8885.14-18077.9</f>
        <v>14839</v>
      </c>
      <c r="C83" s="12">
        <v>44459.47</v>
      </c>
      <c r="D83" s="12">
        <f>4474.14+3882.06+36.86+3061.75-12.81</f>
        <v>11442.000000000002</v>
      </c>
      <c r="E83" s="50">
        <v>0</v>
      </c>
      <c r="F83" s="38">
        <f>3000+2958.44+22.23-85.67</f>
        <v>5895</v>
      </c>
      <c r="G83" s="50">
        <v>0</v>
      </c>
      <c r="H83" s="50">
        <v>114975</v>
      </c>
      <c r="I83" s="50">
        <f>8452.04-1472+7331.29+72.59+1438.39-65.31</f>
        <v>15757.000000000002</v>
      </c>
      <c r="J83" s="54">
        <f>8898.43+7691.66+76.32-16.41</f>
        <v>16650</v>
      </c>
      <c r="K83" s="54">
        <v>203000</v>
      </c>
      <c r="L83" s="54">
        <v>0</v>
      </c>
      <c r="M83" s="16">
        <f t="shared" si="7"/>
        <v>427017.47</v>
      </c>
    </row>
    <row r="84" spans="1:13" ht="12.75">
      <c r="A84" s="19" t="s">
        <v>28</v>
      </c>
      <c r="B84" s="50">
        <f>3445.87+7711.64+2798.49+13794.32-7317.32</f>
        <v>20433</v>
      </c>
      <c r="C84" s="50">
        <f>10753.45+26423.16+43161.85-8573.46</f>
        <v>71765</v>
      </c>
      <c r="D84" s="12">
        <f>1193.1+2697.7+904.6+4352.07+3000-12.47</f>
        <v>12135</v>
      </c>
      <c r="E84" s="12">
        <f>110+257.77+355.06-7.83</f>
        <v>714.9999999999999</v>
      </c>
      <c r="F84" s="12">
        <f>1500+2055.86+2831.86+174.94-127.66</f>
        <v>6435</v>
      </c>
      <c r="G84" s="50">
        <v>0</v>
      </c>
      <c r="H84" s="50">
        <v>91015</v>
      </c>
      <c r="I84" s="50">
        <v>24202</v>
      </c>
      <c r="J84" s="54">
        <f>2372.91+5345.05+1865.3+8959.3-174.56</f>
        <v>18367.999999999996</v>
      </c>
      <c r="K84" s="54">
        <v>177275</v>
      </c>
      <c r="L84" s="54">
        <v>0</v>
      </c>
      <c r="M84" s="16">
        <f t="shared" si="7"/>
        <v>422343</v>
      </c>
    </row>
    <row r="85" spans="1:13" ht="12.75">
      <c r="A85" s="17">
        <v>44531</v>
      </c>
      <c r="B85" s="50">
        <f>861.47+23040.19</f>
        <v>23901.66</v>
      </c>
      <c r="C85" s="50">
        <f>2688.36+89356.51+14207.4</f>
        <v>106252.26999999999</v>
      </c>
      <c r="D85" s="50">
        <f>310.28+6232.74+7826.29+2000</f>
        <v>16369.31</v>
      </c>
      <c r="E85" s="50">
        <f>32.59+817.02+787.06+135.49</f>
        <v>1772.16</v>
      </c>
      <c r="F85" s="50">
        <f>230.41+5900.48+85.67</f>
        <v>6216.5599999999995</v>
      </c>
      <c r="G85" s="50">
        <f>630.2+15044</f>
        <v>15674.2</v>
      </c>
      <c r="H85" s="50">
        <v>67095.2</v>
      </c>
      <c r="I85" s="50">
        <f>563.47+13954.2-2200+14793.68</f>
        <v>27111.35</v>
      </c>
      <c r="J85" s="54">
        <f>593.23+15521.61</f>
        <v>16114.84</v>
      </c>
      <c r="K85" s="54">
        <v>178050</v>
      </c>
      <c r="L85" s="42">
        <f>191.1+5696.61</f>
        <v>5887.71</v>
      </c>
      <c r="M85" s="16">
        <f t="shared" si="7"/>
        <v>464445.26</v>
      </c>
    </row>
    <row r="86" spans="1:13" ht="38.25">
      <c r="A86" s="6" t="s">
        <v>29</v>
      </c>
      <c r="B86" s="25">
        <f aca="true" t="shared" si="11" ref="B86:L86">SUM(B83:B85)</f>
        <v>59173.66</v>
      </c>
      <c r="C86" s="25">
        <f t="shared" si="11"/>
        <v>222476.74</v>
      </c>
      <c r="D86" s="25">
        <f t="shared" si="11"/>
        <v>39946.31</v>
      </c>
      <c r="E86" s="25">
        <f t="shared" si="11"/>
        <v>2487.16</v>
      </c>
      <c r="F86" s="25">
        <f t="shared" si="11"/>
        <v>18546.559999999998</v>
      </c>
      <c r="G86" s="27">
        <f t="shared" si="11"/>
        <v>15674.2</v>
      </c>
      <c r="H86" s="27">
        <f t="shared" si="11"/>
        <v>273085.2</v>
      </c>
      <c r="I86" s="27">
        <f t="shared" si="11"/>
        <v>67070.35</v>
      </c>
      <c r="J86" s="27">
        <f>SUM(J83:J85)</f>
        <v>51132.84</v>
      </c>
      <c r="K86" s="27">
        <f>SUM(K83:K85)</f>
        <v>558325</v>
      </c>
      <c r="L86" s="27">
        <f t="shared" si="11"/>
        <v>5887.71</v>
      </c>
      <c r="M86" s="16">
        <f t="shared" si="7"/>
        <v>1313805.73</v>
      </c>
    </row>
    <row r="87" spans="1:13" ht="25.5">
      <c r="A87" s="24" t="s">
        <v>30</v>
      </c>
      <c r="B87" s="25">
        <f aca="true" t="shared" si="12" ref="B87:L87">B74+B78+B82+B86</f>
        <v>240611.66</v>
      </c>
      <c r="C87" s="25">
        <f t="shared" si="12"/>
        <v>1146906.74</v>
      </c>
      <c r="D87" s="25">
        <f t="shared" si="12"/>
        <v>106025.31</v>
      </c>
      <c r="E87" s="25">
        <f t="shared" si="12"/>
        <v>17997.16</v>
      </c>
      <c r="F87" s="25">
        <f t="shared" si="12"/>
        <v>78126.56</v>
      </c>
      <c r="G87" s="26">
        <f t="shared" si="12"/>
        <v>158465.2</v>
      </c>
      <c r="H87" s="26">
        <f t="shared" si="12"/>
        <v>1540575.2</v>
      </c>
      <c r="I87" s="26">
        <f t="shared" si="12"/>
        <v>208394.35</v>
      </c>
      <c r="J87" s="26">
        <f>J74+J78+J82+J86</f>
        <v>143318.84</v>
      </c>
      <c r="K87" s="26">
        <f>K74+K78+K82+K86</f>
        <v>942353.54</v>
      </c>
      <c r="L87" s="26">
        <f t="shared" si="12"/>
        <v>6527.71</v>
      </c>
      <c r="M87" s="16">
        <f t="shared" si="7"/>
        <v>4589302.2700000005</v>
      </c>
    </row>
    <row r="88" spans="1:13" ht="12.75">
      <c r="A88" s="29"/>
      <c r="B88" s="30"/>
      <c r="C88" s="30"/>
      <c r="D88" s="30"/>
      <c r="E88" s="30"/>
      <c r="F88" s="30"/>
      <c r="G88" s="31"/>
      <c r="H88" s="31"/>
      <c r="I88" s="32"/>
      <c r="J88" s="32"/>
      <c r="K88" s="32"/>
      <c r="L88" s="32"/>
      <c r="M88" s="23"/>
    </row>
    <row r="89" spans="1:13" ht="12.75">
      <c r="A89" s="29"/>
      <c r="B89" s="30"/>
      <c r="C89" s="30"/>
      <c r="D89" s="30"/>
      <c r="E89" s="30"/>
      <c r="F89" s="30"/>
      <c r="G89" s="31"/>
      <c r="H89" s="31"/>
      <c r="I89" s="32"/>
      <c r="J89" s="32"/>
      <c r="K89" s="32"/>
      <c r="L89" s="32"/>
      <c r="M89" s="23">
        <f>M87+D57+J23</f>
        <v>8444764.620000001</v>
      </c>
    </row>
    <row r="90" spans="1:13" ht="12.75">
      <c r="A90" s="29"/>
      <c r="B90" s="30"/>
      <c r="C90" s="30"/>
      <c r="D90" s="30"/>
      <c r="E90" s="30"/>
      <c r="F90" s="30"/>
      <c r="G90" s="31"/>
      <c r="H90" s="31"/>
      <c r="I90" s="32"/>
      <c r="J90" s="32"/>
      <c r="K90" s="32"/>
      <c r="L90" s="32"/>
      <c r="M90" s="23"/>
    </row>
    <row r="91" spans="1:13" ht="12.75">
      <c r="A91" s="29"/>
      <c r="B91" s="30"/>
      <c r="C91" s="30"/>
      <c r="D91" s="30"/>
      <c r="E91" s="30"/>
      <c r="F91" s="30"/>
      <c r="G91" s="31"/>
      <c r="H91" s="31"/>
      <c r="I91" s="32"/>
      <c r="J91" s="32"/>
      <c r="K91" s="32"/>
      <c r="L91" s="32"/>
      <c r="M91" s="23"/>
    </row>
    <row r="92" spans="1:13" ht="12.75">
      <c r="A92" s="29"/>
      <c r="B92" s="30"/>
      <c r="C92" s="30"/>
      <c r="D92" s="30"/>
      <c r="E92" s="30"/>
      <c r="F92" s="30"/>
      <c r="G92" s="31"/>
      <c r="H92" s="31"/>
      <c r="I92" s="32"/>
      <c r="J92" s="32"/>
      <c r="K92" s="32"/>
      <c r="L92" s="32"/>
      <c r="M92" s="23"/>
    </row>
    <row r="93" spans="1:13" ht="12.75">
      <c r="A93" s="29"/>
      <c r="B93" s="30"/>
      <c r="C93" s="30"/>
      <c r="D93" s="30"/>
      <c r="E93" s="30"/>
      <c r="F93" s="30"/>
      <c r="G93" s="31"/>
      <c r="H93" s="31"/>
      <c r="I93" s="32"/>
      <c r="J93" s="32"/>
      <c r="K93" s="32"/>
      <c r="L93" s="32"/>
      <c r="M93" s="23"/>
    </row>
  </sheetData>
  <sheetProtection/>
  <mergeCells count="6">
    <mergeCell ref="B4:I4"/>
    <mergeCell ref="L4:L5"/>
    <mergeCell ref="A69:A70"/>
    <mergeCell ref="A4:A5"/>
    <mergeCell ref="A39:A40"/>
    <mergeCell ref="J4:J5"/>
  </mergeCells>
  <printOptions/>
  <pageMargins left="0" right="0" top="0.7874015748031497" bottom="0.7874015748031497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2021-03-02T14:48:34Z</cp:lastPrinted>
  <dcterms:created xsi:type="dcterms:W3CDTF">2007-02-14T09:57:22Z</dcterms:created>
  <dcterms:modified xsi:type="dcterms:W3CDTF">2022-03-02T07:07:35Z</dcterms:modified>
  <cp:category/>
  <cp:version/>
  <cp:contentType/>
  <cp:contentStatus/>
</cp:coreProperties>
</file>